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2995" windowHeight="10035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3" i="2" l="1"/>
  <c r="D48" i="2" l="1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E19" i="2" s="1"/>
  <c r="K19" i="2" s="1"/>
  <c r="H19" i="2" s="1"/>
  <c r="A20" i="2"/>
  <c r="J48" i="2"/>
  <c r="D6" i="2"/>
  <c r="C48" i="2" s="1"/>
  <c r="N4" i="1"/>
  <c r="R4" i="1" s="1"/>
  <c r="J26" i="1"/>
  <c r="J25" i="1"/>
  <c r="H25" i="1"/>
  <c r="C15" i="1"/>
  <c r="C17" i="1" s="1"/>
  <c r="H26" i="1" s="1"/>
  <c r="C10" i="1"/>
  <c r="C12" i="1" s="1"/>
  <c r="E20" i="2" l="1"/>
  <c r="K20" i="2" s="1"/>
  <c r="H20" i="2" s="1"/>
  <c r="C21" i="2"/>
  <c r="C23" i="2"/>
  <c r="C30" i="2"/>
  <c r="C32" i="2"/>
  <c r="C39" i="2"/>
  <c r="C41" i="2"/>
  <c r="C20" i="2"/>
  <c r="C27" i="2"/>
  <c r="C29" i="2"/>
  <c r="C36" i="2"/>
  <c r="C38" i="2"/>
  <c r="C19" i="2"/>
  <c r="C24" i="2"/>
  <c r="C26" i="2"/>
  <c r="C33" i="2"/>
  <c r="C35" i="2"/>
  <c r="J20" i="2"/>
  <c r="F19" i="2"/>
  <c r="J36" i="2"/>
  <c r="A21" i="2"/>
  <c r="J19" i="2"/>
  <c r="L19" i="2" s="1"/>
  <c r="C22" i="2"/>
  <c r="J22" i="2"/>
  <c r="C25" i="2"/>
  <c r="J25" i="2"/>
  <c r="C28" i="2"/>
  <c r="J28" i="2"/>
  <c r="C31" i="2"/>
  <c r="J31" i="2"/>
  <c r="C34" i="2"/>
  <c r="J34" i="2"/>
  <c r="C37" i="2"/>
  <c r="J37" i="2"/>
  <c r="C40" i="2"/>
  <c r="J40" i="2"/>
  <c r="C43" i="2"/>
  <c r="J43" i="2"/>
  <c r="C46" i="2"/>
  <c r="J46" i="2"/>
  <c r="J23" i="2"/>
  <c r="J26" i="2"/>
  <c r="J29" i="2"/>
  <c r="J32" i="2"/>
  <c r="J35" i="2"/>
  <c r="J38" i="2"/>
  <c r="J41" i="2"/>
  <c r="C44" i="2"/>
  <c r="J44" i="2"/>
  <c r="C47" i="2"/>
  <c r="J47" i="2"/>
  <c r="J21" i="2"/>
  <c r="J24" i="2"/>
  <c r="J27" i="2"/>
  <c r="J30" i="2"/>
  <c r="J33" i="2"/>
  <c r="J39" i="2"/>
  <c r="C42" i="2"/>
  <c r="J42" i="2"/>
  <c r="C45" i="2"/>
  <c r="J45" i="2"/>
  <c r="P4" i="1"/>
  <c r="C18" i="1"/>
  <c r="C19" i="1"/>
  <c r="C22" i="1" s="1"/>
  <c r="F20" i="2" l="1"/>
  <c r="N19" i="2"/>
  <c r="O19" i="2" s="1"/>
  <c r="L20" i="2"/>
  <c r="A22" i="2"/>
  <c r="E21" i="2"/>
  <c r="C24" i="1"/>
  <c r="C25" i="1" s="1"/>
  <c r="C26" i="1" s="1"/>
  <c r="N20" i="2" l="1"/>
  <c r="O20" i="2" s="1"/>
  <c r="A23" i="2"/>
  <c r="E22" i="2"/>
  <c r="K21" i="2"/>
  <c r="F21" i="2"/>
  <c r="I9" i="1"/>
  <c r="I10" i="1" s="1"/>
  <c r="I11" i="1" s="1"/>
  <c r="J27" i="1"/>
  <c r="J28" i="1" s="1"/>
  <c r="E26" i="1"/>
  <c r="H27" i="1" s="1"/>
  <c r="H28" i="1" s="1"/>
  <c r="L21" i="2" l="1"/>
  <c r="N21" i="2" s="1"/>
  <c r="O21" i="2" s="1"/>
  <c r="H21" i="2"/>
  <c r="K22" i="2"/>
  <c r="F22" i="2"/>
  <c r="A24" i="2"/>
  <c r="E23" i="2"/>
  <c r="L22" i="2" l="1"/>
  <c r="N22" i="2" s="1"/>
  <c r="H22" i="2"/>
  <c r="A25" i="2"/>
  <c r="E24" i="2"/>
  <c r="K23" i="2"/>
  <c r="F23" i="2"/>
  <c r="L23" i="2" l="1"/>
  <c r="N23" i="2" s="1"/>
  <c r="O23" i="2" s="1"/>
  <c r="H23" i="2"/>
  <c r="O22" i="2"/>
  <c r="K24" i="2"/>
  <c r="F24" i="2"/>
  <c r="A26" i="2"/>
  <c r="E25" i="2"/>
  <c r="L24" i="2" l="1"/>
  <c r="N24" i="2" s="1"/>
  <c r="O24" i="2" s="1"/>
  <c r="H24" i="2"/>
  <c r="K25" i="2"/>
  <c r="F25" i="2"/>
  <c r="A27" i="2"/>
  <c r="E26" i="2"/>
  <c r="L25" i="2" l="1"/>
  <c r="N25" i="2" s="1"/>
  <c r="H25" i="2"/>
  <c r="K26" i="2"/>
  <c r="F26" i="2"/>
  <c r="A28" i="2"/>
  <c r="E27" i="2"/>
  <c r="L26" i="2" l="1"/>
  <c r="N26" i="2" s="1"/>
  <c r="O26" i="2" s="1"/>
  <c r="H26" i="2"/>
  <c r="A29" i="2"/>
  <c r="E28" i="2"/>
  <c r="O25" i="2"/>
  <c r="K27" i="2"/>
  <c r="F27" i="2"/>
  <c r="L27" i="2" l="1"/>
  <c r="N27" i="2" s="1"/>
  <c r="H27" i="2"/>
  <c r="A30" i="2"/>
  <c r="E29" i="2"/>
  <c r="K28" i="2"/>
  <c r="F28" i="2"/>
  <c r="L28" i="2" l="1"/>
  <c r="N28" i="2" s="1"/>
  <c r="O28" i="2" s="1"/>
  <c r="H28" i="2"/>
  <c r="O27" i="2"/>
  <c r="K29" i="2"/>
  <c r="F29" i="2"/>
  <c r="A31" i="2"/>
  <c r="E30" i="2"/>
  <c r="L29" i="2" l="1"/>
  <c r="N29" i="2" s="1"/>
  <c r="O29" i="2" s="1"/>
  <c r="H29" i="2"/>
  <c r="K30" i="2"/>
  <c r="F30" i="2"/>
  <c r="A32" i="2"/>
  <c r="E31" i="2"/>
  <c r="L30" i="2" l="1"/>
  <c r="N30" i="2" s="1"/>
  <c r="O30" i="2" s="1"/>
  <c r="H30" i="2"/>
  <c r="A33" i="2"/>
  <c r="E32" i="2"/>
  <c r="K31" i="2"/>
  <c r="F31" i="2"/>
  <c r="L31" i="2" l="1"/>
  <c r="N31" i="2" s="1"/>
  <c r="O31" i="2" s="1"/>
  <c r="H31" i="2"/>
  <c r="A34" i="2"/>
  <c r="E33" i="2"/>
  <c r="K32" i="2"/>
  <c r="H32" i="2" s="1"/>
  <c r="F32" i="2"/>
  <c r="L32" i="2" l="1"/>
  <c r="N32" i="2" s="1"/>
  <c r="O32" i="2" s="1"/>
  <c r="A35" i="2"/>
  <c r="E34" i="2"/>
  <c r="K33" i="2"/>
  <c r="F33" i="2"/>
  <c r="L33" i="2" l="1"/>
  <c r="N33" i="2" s="1"/>
  <c r="H33" i="2"/>
  <c r="K34" i="2"/>
  <c r="F34" i="2"/>
  <c r="A36" i="2"/>
  <c r="E35" i="2"/>
  <c r="L34" i="2" l="1"/>
  <c r="N34" i="2" s="1"/>
  <c r="O34" i="2" s="1"/>
  <c r="H34" i="2"/>
  <c r="K35" i="2"/>
  <c r="F35" i="2"/>
  <c r="A37" i="2"/>
  <c r="E36" i="2"/>
  <c r="O33" i="2"/>
  <c r="L35" i="2" l="1"/>
  <c r="N35" i="2" s="1"/>
  <c r="O35" i="2" s="1"/>
  <c r="H35" i="2"/>
  <c r="A38" i="2"/>
  <c r="E37" i="2"/>
  <c r="K36" i="2"/>
  <c r="F36" i="2"/>
  <c r="L36" i="2" l="1"/>
  <c r="N36" i="2" s="1"/>
  <c r="H36" i="2"/>
  <c r="K37" i="2"/>
  <c r="F37" i="2"/>
  <c r="A39" i="2"/>
  <c r="E38" i="2"/>
  <c r="O36" i="2"/>
  <c r="L37" i="2" l="1"/>
  <c r="N37" i="2" s="1"/>
  <c r="H37" i="2"/>
  <c r="K38" i="2"/>
  <c r="F38" i="2"/>
  <c r="A40" i="2"/>
  <c r="E39" i="2"/>
  <c r="O37" i="2"/>
  <c r="L38" i="2" l="1"/>
  <c r="N38" i="2" s="1"/>
  <c r="O38" i="2" s="1"/>
  <c r="H38" i="2"/>
  <c r="K39" i="2"/>
  <c r="F39" i="2"/>
  <c r="A41" i="2"/>
  <c r="E40" i="2"/>
  <c r="L39" i="2" l="1"/>
  <c r="N39" i="2" s="1"/>
  <c r="O39" i="2" s="1"/>
  <c r="H39" i="2"/>
  <c r="K40" i="2"/>
  <c r="F40" i="2"/>
  <c r="A42" i="2"/>
  <c r="E41" i="2"/>
  <c r="L40" i="2" l="1"/>
  <c r="N40" i="2" s="1"/>
  <c r="O40" i="2" s="1"/>
  <c r="H40" i="2"/>
  <c r="K41" i="2"/>
  <c r="F41" i="2"/>
  <c r="A43" i="2"/>
  <c r="E42" i="2"/>
  <c r="L41" i="2" l="1"/>
  <c r="N41" i="2" s="1"/>
  <c r="O41" i="2" s="1"/>
  <c r="H41" i="2"/>
  <c r="K42" i="2"/>
  <c r="F42" i="2"/>
  <c r="A44" i="2"/>
  <c r="E43" i="2"/>
  <c r="L42" i="2" l="1"/>
  <c r="N42" i="2" s="1"/>
  <c r="O42" i="2" s="1"/>
  <c r="H42" i="2"/>
  <c r="K43" i="2"/>
  <c r="F43" i="2"/>
  <c r="A45" i="2"/>
  <c r="E44" i="2"/>
  <c r="L43" i="2" l="1"/>
  <c r="N43" i="2" s="1"/>
  <c r="O43" i="2" s="1"/>
  <c r="H43" i="2"/>
  <c r="K44" i="2"/>
  <c r="F44" i="2"/>
  <c r="A46" i="2"/>
  <c r="E45" i="2"/>
  <c r="L44" i="2" l="1"/>
  <c r="N44" i="2" s="1"/>
  <c r="H44" i="2"/>
  <c r="A47" i="2"/>
  <c r="E46" i="2"/>
  <c r="K45" i="2"/>
  <c r="F45" i="2"/>
  <c r="L45" i="2" l="1"/>
  <c r="N45" i="2" s="1"/>
  <c r="O45" i="2" s="1"/>
  <c r="H45" i="2"/>
  <c r="K46" i="2"/>
  <c r="F46" i="2"/>
  <c r="O44" i="2"/>
  <c r="A48" i="2"/>
  <c r="E48" i="2" s="1"/>
  <c r="E47" i="2"/>
  <c r="L46" i="2" l="1"/>
  <c r="N46" i="2" s="1"/>
  <c r="H46" i="2"/>
  <c r="K47" i="2"/>
  <c r="F47" i="2"/>
  <c r="K48" i="2"/>
  <c r="F48" i="2"/>
  <c r="O46" i="2"/>
  <c r="L47" i="2" l="1"/>
  <c r="N47" i="2" s="1"/>
  <c r="O47" i="2" s="1"/>
  <c r="H47" i="2"/>
  <c r="L48" i="2"/>
  <c r="N48" i="2" s="1"/>
  <c r="H48" i="2"/>
  <c r="O48" i="2" l="1"/>
</calcChain>
</file>

<file path=xl/sharedStrings.xml><?xml version="1.0" encoding="utf-8"?>
<sst xmlns="http://schemas.openxmlformats.org/spreadsheetml/2006/main" count="76" uniqueCount="68">
  <si>
    <t>Example Income Allocation Calculations</t>
  </si>
  <si>
    <t xml:space="preserve"> Total income</t>
  </si>
  <si>
    <t xml:space="preserve"> Years of work</t>
  </si>
  <si>
    <t xml:space="preserve"> Investment return</t>
  </si>
  <si>
    <t xml:space="preserve"> Current savings</t>
  </si>
  <si>
    <t xml:space="preserve"> Estimate SSI benefit</t>
  </si>
  <si>
    <t xml:space="preserve"> Adjust for SSI</t>
  </si>
  <si>
    <t xml:space="preserve"> Adjust for other working expenses</t>
  </si>
  <si>
    <t xml:space="preserve"> Future value current savings</t>
  </si>
  <si>
    <t xml:space="preserve"> Safe withdrawal rate</t>
  </si>
  <si>
    <t xml:space="preserve"> Annuity from current savings</t>
  </si>
  <si>
    <t>Step 3 - Calculate current income shortfall</t>
  </si>
  <si>
    <t>Step 2 - Estimate social security and work expense effect</t>
  </si>
  <si>
    <t>Step 1 - Describe your working years, expected return and current savings</t>
  </si>
  <si>
    <t xml:space="preserve"> Shortfall in annual income</t>
  </si>
  <si>
    <t xml:space="preserve"> Shortfall in savings (preliminary)</t>
  </si>
  <si>
    <t>Step 4 - Estimate Different Savings Scenarios</t>
  </si>
  <si>
    <t xml:space="preserve"> Savings required to aim high</t>
  </si>
  <si>
    <t xml:space="preserve"> Savings required to aim low</t>
  </si>
  <si>
    <t xml:space="preserve"> Adjusting savings for savings</t>
  </si>
  <si>
    <t xml:space="preserve"> Adjusted shortfall in income</t>
  </si>
  <si>
    <t xml:space="preserve"> Adjusting shortfall in savings</t>
  </si>
  <si>
    <t>Average savings</t>
  </si>
  <si>
    <t>Future value</t>
  </si>
  <si>
    <t>Annuity</t>
  </si>
  <si>
    <t>Retirement</t>
  </si>
  <si>
    <t>Income</t>
  </si>
  <si>
    <t>Work</t>
  </si>
  <si>
    <t>Years</t>
  </si>
  <si>
    <t>Example Income Allocation Worksheet</t>
  </si>
  <si>
    <t>Step 1 - Describe Your Work</t>
  </si>
  <si>
    <t xml:space="preserve"> Income</t>
  </si>
  <si>
    <t xml:space="preserve"> Payroll taxes</t>
  </si>
  <si>
    <t xml:space="preserve"> Other work expenses</t>
  </si>
  <si>
    <t xml:space="preserve"> </t>
  </si>
  <si>
    <t>&lt;--Enter your total wages here</t>
  </si>
  <si>
    <t>&lt;--Initially set to 7.65% of your wages to reflect Social Security taxes but you can change</t>
  </si>
  <si>
    <t>&lt;--A guess about any other work expenses</t>
  </si>
  <si>
    <t>Step 2 - Outline Your Investment Assumptions</t>
  </si>
  <si>
    <t>&lt;--This equals zero if you haven't yet been able to save…</t>
  </si>
  <si>
    <t xml:space="preserve"> Anticipated investment return</t>
  </si>
  <si>
    <t xml:space="preserve"> Social Security Benefit</t>
  </si>
  <si>
    <t>&lt;--I'm guessing (roughly) at your Social Security Benefit here so you should try to enter the real number</t>
  </si>
  <si>
    <t>Step 3 - Calculate Retirement Income Over a Variety of Savings Rates</t>
  </si>
  <si>
    <t>Rate</t>
  </si>
  <si>
    <t>Total</t>
  </si>
  <si>
    <t>Less</t>
  </si>
  <si>
    <t>Work Expenses</t>
  </si>
  <si>
    <t>Payroll Taxes</t>
  </si>
  <si>
    <t>Savings</t>
  </si>
  <si>
    <t>Adjusted</t>
  </si>
  <si>
    <t>Spending</t>
  </si>
  <si>
    <t>Social</t>
  </si>
  <si>
    <t>Security</t>
  </si>
  <si>
    <t>IRA, etc</t>
  </si>
  <si>
    <t>Draws</t>
  </si>
  <si>
    <t>Overage/</t>
  </si>
  <si>
    <t>(Shortfall)</t>
  </si>
  <si>
    <t>&lt;--Enter the number of years you plan/need to work here</t>
  </si>
  <si>
    <t>&lt;--My guess as to the balanced, real (adjusted for inflation) return you can earn</t>
  </si>
  <si>
    <t>&lt;--A five percent withdrawal is pretty high… you may want to use four percent</t>
  </si>
  <si>
    <t>Estimated</t>
  </si>
  <si>
    <t>Future Value</t>
  </si>
  <si>
    <t>Suggestions and Comments</t>
  </si>
  <si>
    <t>Copyright © 2014 by</t>
  </si>
  <si>
    <t>Stephen L. Nelson CPA</t>
  </si>
  <si>
    <t>and Evergreen Small Business blog</t>
  </si>
  <si>
    <t>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</si>
</sst>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8" fontId="0" fillId="0" borderId="0" xfId="0" applyNumberFormat="1"/>
    <xf numFmtId="9" fontId="0" fillId="0" borderId="0" xfId="2" applyFont="1"/>
    <xf numFmtId="164" fontId="0" fillId="0" borderId="0" xfId="1" applyNumberFormat="1" applyFont="1"/>
    <xf numFmtId="164" fontId="0" fillId="0" borderId="0" xfId="0" applyNumberFormat="1"/>
    <xf numFmtId="164" fontId="0" fillId="2" borderId="2" xfId="1" applyNumberFormat="1" applyFont="1" applyFill="1" applyBorder="1"/>
    <xf numFmtId="164" fontId="0" fillId="2" borderId="3" xfId="1" applyNumberFormat="1" applyFont="1" applyFill="1" applyBorder="1"/>
    <xf numFmtId="164" fontId="0" fillId="4" borderId="2" xfId="1" applyNumberFormat="1" applyFont="1" applyFill="1" applyBorder="1"/>
    <xf numFmtId="164" fontId="0" fillId="4" borderId="3" xfId="1" applyNumberFormat="1" applyFont="1" applyFill="1" applyBorder="1"/>
    <xf numFmtId="44" fontId="0" fillId="3" borderId="2" xfId="0" applyNumberFormat="1" applyFill="1" applyBorder="1"/>
    <xf numFmtId="44" fontId="0" fillId="3" borderId="3" xfId="0" applyNumberFormat="1" applyFill="1" applyBorder="1"/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0" xfId="0" applyFont="1"/>
    <xf numFmtId="0" fontId="4" fillId="0" borderId="0" xfId="3"/>
    <xf numFmtId="0" fontId="3" fillId="0" borderId="0" xfId="0" applyFont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ephenlnelson.com/" TargetMode="External"/><Relationship Id="rId1" Type="http://schemas.openxmlformats.org/officeDocument/2006/relationships/hyperlink" Target="http://www.stephenlnels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workbookViewId="0">
      <selection activeCell="L5" sqref="L5"/>
    </sheetView>
  </sheetViews>
  <sheetFormatPr defaultRowHeight="15" x14ac:dyDescent="0.25"/>
  <cols>
    <col min="1" max="1" width="26.28515625" customWidth="1"/>
    <col min="3" max="3" width="11.85546875" bestFit="1" customWidth="1"/>
    <col min="5" max="5" width="12.5703125" bestFit="1" customWidth="1"/>
    <col min="8" max="8" width="9.85546875" bestFit="1" customWidth="1"/>
    <col min="9" max="9" width="11.85546875" bestFit="1" customWidth="1"/>
    <col min="10" max="10" width="10.5703125" bestFit="1" customWidth="1"/>
  </cols>
  <sheetData>
    <row r="1" spans="1:18" x14ac:dyDescent="0.25">
      <c r="A1" t="s">
        <v>0</v>
      </c>
    </row>
    <row r="3" spans="1:18" x14ac:dyDescent="0.25">
      <c r="A3" t="s">
        <v>13</v>
      </c>
    </row>
    <row r="4" spans="1:18" x14ac:dyDescent="0.25">
      <c r="A4" t="s">
        <v>1</v>
      </c>
      <c r="C4">
        <v>50000</v>
      </c>
      <c r="L4">
        <v>9.8750000000000004E-2</v>
      </c>
      <c r="N4">
        <f>+L4*C4</f>
        <v>4937.5</v>
      </c>
      <c r="P4">
        <f>+C4-N4-0.0765*C4-C10</f>
        <v>22037.5</v>
      </c>
      <c r="R4">
        <f>FV(0.05,C5,-N4,-C7)*C16</f>
        <v>21804.518446244725</v>
      </c>
    </row>
    <row r="5" spans="1:18" x14ac:dyDescent="0.25">
      <c r="A5" t="s">
        <v>2</v>
      </c>
      <c r="C5">
        <v>30</v>
      </c>
    </row>
    <row r="6" spans="1:18" x14ac:dyDescent="0.25">
      <c r="A6" t="s">
        <v>3</v>
      </c>
      <c r="C6">
        <v>0.05</v>
      </c>
    </row>
    <row r="7" spans="1:18" x14ac:dyDescent="0.25">
      <c r="A7" t="s">
        <v>4</v>
      </c>
      <c r="C7">
        <v>25000</v>
      </c>
    </row>
    <row r="9" spans="1:18" x14ac:dyDescent="0.25">
      <c r="A9" t="s">
        <v>12</v>
      </c>
      <c r="G9" t="s">
        <v>22</v>
      </c>
      <c r="I9" s="1">
        <f>+AVERAGE(C22,C26)</f>
        <v>5216.0581858581754</v>
      </c>
    </row>
    <row r="10" spans="1:18" x14ac:dyDescent="0.25">
      <c r="A10" t="s">
        <v>5</v>
      </c>
      <c r="C10">
        <f>0.9*7000+(C4-7000)*0.3</f>
        <v>19200</v>
      </c>
      <c r="G10" t="s">
        <v>23</v>
      </c>
      <c r="I10" s="1">
        <f>FV(C6,C5,-I9)</f>
        <v>346548.89437707525</v>
      </c>
    </row>
    <row r="11" spans="1:18" x14ac:dyDescent="0.25">
      <c r="A11" t="s">
        <v>7</v>
      </c>
      <c r="C11">
        <v>5000</v>
      </c>
      <c r="G11" t="s">
        <v>24</v>
      </c>
      <c r="I11">
        <f>+I10*C16</f>
        <v>17327.444718853763</v>
      </c>
    </row>
    <row r="12" spans="1:18" x14ac:dyDescent="0.25">
      <c r="A12" t="s">
        <v>6</v>
      </c>
      <c r="C12">
        <f>+C4-C10-C11</f>
        <v>25800</v>
      </c>
    </row>
    <row r="14" spans="1:18" x14ac:dyDescent="0.25">
      <c r="A14" t="s">
        <v>11</v>
      </c>
    </row>
    <row r="15" spans="1:18" x14ac:dyDescent="0.25">
      <c r="A15" t="s">
        <v>8</v>
      </c>
      <c r="C15" s="1">
        <f>FV(C6,C5,,-C7)</f>
        <v>108048.55937876656</v>
      </c>
    </row>
    <row r="16" spans="1:18" x14ac:dyDescent="0.25">
      <c r="A16" t="s">
        <v>9</v>
      </c>
      <c r="C16">
        <v>0.05</v>
      </c>
    </row>
    <row r="17" spans="1:10" x14ac:dyDescent="0.25">
      <c r="A17" t="s">
        <v>10</v>
      </c>
      <c r="C17" s="1">
        <f>C16*C15</f>
        <v>5402.4279689383284</v>
      </c>
    </row>
    <row r="18" spans="1:10" x14ac:dyDescent="0.25">
      <c r="A18" t="s">
        <v>14</v>
      </c>
      <c r="C18" s="1">
        <f>+C12-C17</f>
        <v>20397.572031061671</v>
      </c>
    </row>
    <row r="19" spans="1:10" x14ac:dyDescent="0.25">
      <c r="A19" t="s">
        <v>15</v>
      </c>
      <c r="C19" s="1">
        <f>+C18/C16</f>
        <v>407951.44062123337</v>
      </c>
    </row>
    <row r="21" spans="1:10" x14ac:dyDescent="0.25">
      <c r="A21" t="s">
        <v>16</v>
      </c>
    </row>
    <row r="22" spans="1:10" x14ac:dyDescent="0.25">
      <c r="A22" t="s">
        <v>17</v>
      </c>
      <c r="C22" s="1">
        <f>PMT(C6,C5,,-C19)</f>
        <v>6140.2546244157975</v>
      </c>
    </row>
    <row r="23" spans="1:10" x14ac:dyDescent="0.25">
      <c r="A23" t="s">
        <v>19</v>
      </c>
      <c r="H23" t="s">
        <v>25</v>
      </c>
      <c r="J23" t="s">
        <v>27</v>
      </c>
    </row>
    <row r="24" spans="1:10" x14ac:dyDescent="0.25">
      <c r="A24" t="s">
        <v>20</v>
      </c>
      <c r="C24" s="1">
        <f>+C18-C22:C22</f>
        <v>14257.317406645874</v>
      </c>
      <c r="H24" t="s">
        <v>26</v>
      </c>
      <c r="J24" t="s">
        <v>28</v>
      </c>
    </row>
    <row r="25" spans="1:10" x14ac:dyDescent="0.25">
      <c r="A25" t="s">
        <v>21</v>
      </c>
      <c r="C25" s="1">
        <f>+C24/C16</f>
        <v>285146.34813291748</v>
      </c>
      <c r="H25">
        <f>+C10</f>
        <v>19200</v>
      </c>
      <c r="J25">
        <f>+C4</f>
        <v>50000</v>
      </c>
    </row>
    <row r="26" spans="1:10" x14ac:dyDescent="0.25">
      <c r="A26" t="s">
        <v>18</v>
      </c>
      <c r="C26" s="1">
        <f>PMT(C6,C5,,-C25)</f>
        <v>4291.8617473005525</v>
      </c>
      <c r="E26" s="1">
        <f>-FV(C6,C5,-C26)</f>
        <v>-285146.34813291737</v>
      </c>
      <c r="H26" s="1">
        <f>+C17</f>
        <v>5402.4279689383284</v>
      </c>
      <c r="J26">
        <f>-C11</f>
        <v>-5000</v>
      </c>
    </row>
    <row r="27" spans="1:10" x14ac:dyDescent="0.25">
      <c r="H27">
        <f>+E26*-0.05</f>
        <v>14257.317406645869</v>
      </c>
      <c r="J27" s="1">
        <f>-C26</f>
        <v>-4291.8617473005525</v>
      </c>
    </row>
    <row r="28" spans="1:10" x14ac:dyDescent="0.25">
      <c r="H28">
        <f>SUM(H25:H27)</f>
        <v>38859.7453755842</v>
      </c>
      <c r="J28">
        <f>SUM(J25:J27)</f>
        <v>40708.138252699449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workbookViewId="0">
      <selection activeCell="A9" sqref="A9"/>
    </sheetView>
  </sheetViews>
  <sheetFormatPr defaultRowHeight="15" x14ac:dyDescent="0.25"/>
  <cols>
    <col min="2" max="2" width="11.5703125" bestFit="1" customWidth="1"/>
    <col min="3" max="3" width="12.7109375" bestFit="1" customWidth="1"/>
    <col min="4" max="4" width="14.7109375" bestFit="1" customWidth="1"/>
    <col min="5" max="5" width="9.7109375" bestFit="1" customWidth="1"/>
    <col min="6" max="6" width="11.5703125" bestFit="1" customWidth="1"/>
    <col min="8" max="8" width="14.28515625" bestFit="1" customWidth="1"/>
    <col min="9" max="9" width="10.5703125" bestFit="1" customWidth="1"/>
    <col min="10" max="10" width="11.5703125" bestFit="1" customWidth="1"/>
    <col min="12" max="12" width="9.7109375" bestFit="1" customWidth="1"/>
    <col min="14" max="14" width="10" bestFit="1" customWidth="1"/>
  </cols>
  <sheetData>
    <row r="1" spans="1:12" x14ac:dyDescent="0.25">
      <c r="A1" s="19" t="s">
        <v>29</v>
      </c>
      <c r="E1" t="s">
        <v>64</v>
      </c>
      <c r="G1" s="18" t="s">
        <v>65</v>
      </c>
      <c r="I1" s="18" t="s">
        <v>66</v>
      </c>
      <c r="L1" t="s">
        <v>67</v>
      </c>
    </row>
    <row r="3" spans="1:12" x14ac:dyDescent="0.25">
      <c r="A3" s="17" t="s">
        <v>30</v>
      </c>
      <c r="F3" s="17" t="s">
        <v>63</v>
      </c>
    </row>
    <row r="4" spans="1:12" x14ac:dyDescent="0.25">
      <c r="A4" t="s">
        <v>31</v>
      </c>
      <c r="D4">
        <v>50000</v>
      </c>
      <c r="F4" t="s">
        <v>35</v>
      </c>
    </row>
    <row r="5" spans="1:12" x14ac:dyDescent="0.25">
      <c r="A5" t="s">
        <v>2</v>
      </c>
      <c r="D5">
        <v>25</v>
      </c>
      <c r="F5" t="s">
        <v>58</v>
      </c>
    </row>
    <row r="6" spans="1:12" x14ac:dyDescent="0.25">
      <c r="A6" t="s">
        <v>32</v>
      </c>
      <c r="D6">
        <f>0.0765*D4</f>
        <v>3825</v>
      </c>
      <c r="F6" t="s">
        <v>36</v>
      </c>
    </row>
    <row r="7" spans="1:12" x14ac:dyDescent="0.25">
      <c r="A7" t="s">
        <v>33</v>
      </c>
      <c r="D7">
        <v>2500</v>
      </c>
      <c r="F7" t="s">
        <v>37</v>
      </c>
    </row>
    <row r="8" spans="1:12" x14ac:dyDescent="0.25">
      <c r="A8" t="s">
        <v>34</v>
      </c>
    </row>
    <row r="9" spans="1:12" x14ac:dyDescent="0.25">
      <c r="A9" s="17" t="s">
        <v>38</v>
      </c>
    </row>
    <row r="10" spans="1:12" x14ac:dyDescent="0.25">
      <c r="A10" t="s">
        <v>4</v>
      </c>
      <c r="D10">
        <v>25000</v>
      </c>
      <c r="F10" t="s">
        <v>39</v>
      </c>
    </row>
    <row r="11" spans="1:12" x14ac:dyDescent="0.25">
      <c r="A11" t="s">
        <v>40</v>
      </c>
      <c r="D11">
        <v>0.05</v>
      </c>
      <c r="F11" t="s">
        <v>59</v>
      </c>
    </row>
    <row r="12" spans="1:12" x14ac:dyDescent="0.25">
      <c r="A12" t="s">
        <v>9</v>
      </c>
      <c r="D12">
        <v>0.05</v>
      </c>
      <c r="F12" t="s">
        <v>60</v>
      </c>
    </row>
    <row r="13" spans="1:12" x14ac:dyDescent="0.25">
      <c r="A13" t="s">
        <v>41</v>
      </c>
      <c r="D13">
        <f>IF(D4&lt;(12*816),0.9*D4,0)+IF(AND(D4&gt;=(12*816),D4&lt;(12*4917)),0.9*(12*816)+(D4-(12*816))*0.32,0)+IF(AND(D4&gt;=(12*4917),D4&lt;117300),0.9*(12*816)+0.32*(12*4917-12*816)+0.15*(D4-(12*4917)),0)+IF(D4&gt;=117300,0.9*(12*816)+0.32*(12*4917-12*816)+0.15*(117300-(12*4917)),0)</f>
        <v>21679.360000000001</v>
      </c>
      <c r="F13" t="s">
        <v>42</v>
      </c>
    </row>
    <row r="15" spans="1:12" x14ac:dyDescent="0.25">
      <c r="D15" s="3"/>
    </row>
    <row r="16" spans="1:12" ht="15.75" thickBot="1" x14ac:dyDescent="0.3">
      <c r="A16" t="s">
        <v>43</v>
      </c>
    </row>
    <row r="17" spans="1:15" x14ac:dyDescent="0.25">
      <c r="B17" t="s">
        <v>45</v>
      </c>
      <c r="C17" t="s">
        <v>46</v>
      </c>
      <c r="D17" t="s">
        <v>46</v>
      </c>
      <c r="E17" t="s">
        <v>46</v>
      </c>
      <c r="F17" s="11" t="s">
        <v>50</v>
      </c>
      <c r="H17" s="13" t="s">
        <v>61</v>
      </c>
      <c r="J17" t="s">
        <v>52</v>
      </c>
      <c r="K17" t="s">
        <v>54</v>
      </c>
      <c r="L17" s="15" t="s">
        <v>45</v>
      </c>
      <c r="N17" t="s">
        <v>56</v>
      </c>
    </row>
    <row r="18" spans="1:15" x14ac:dyDescent="0.25">
      <c r="A18" t="s">
        <v>44</v>
      </c>
      <c r="B18" t="s">
        <v>26</v>
      </c>
      <c r="C18" t="s">
        <v>48</v>
      </c>
      <c r="D18" t="s">
        <v>47</v>
      </c>
      <c r="E18" t="s">
        <v>49</v>
      </c>
      <c r="F18" s="12" t="s">
        <v>51</v>
      </c>
      <c r="H18" s="14" t="s">
        <v>62</v>
      </c>
      <c r="J18" t="s">
        <v>53</v>
      </c>
      <c r="K18" t="s">
        <v>55</v>
      </c>
      <c r="L18" s="16" t="s">
        <v>26</v>
      </c>
      <c r="N18" t="s">
        <v>57</v>
      </c>
    </row>
    <row r="19" spans="1:15" x14ac:dyDescent="0.25">
      <c r="A19" s="2">
        <v>0.01</v>
      </c>
      <c r="B19" s="3">
        <f>$D$4</f>
        <v>50000</v>
      </c>
      <c r="C19" s="3">
        <f>-$D$6</f>
        <v>-3825</v>
      </c>
      <c r="D19" s="3">
        <f>-$D$7</f>
        <v>-2500</v>
      </c>
      <c r="E19" s="3">
        <f>-A19*B19</f>
        <v>-500</v>
      </c>
      <c r="F19" s="7">
        <f>SUM(B19:E19)</f>
        <v>43175</v>
      </c>
      <c r="G19" s="3"/>
      <c r="H19" s="9">
        <f>K19/$D$12</f>
        <v>108522.4229314785</v>
      </c>
      <c r="J19" s="3">
        <f>$D$13</f>
        <v>21679.360000000001</v>
      </c>
      <c r="K19" s="3">
        <f t="shared" ref="K19:K48" si="0">FV($D$11,$D$5,E19,-$D$10)*$D$12</f>
        <v>5426.1211465739252</v>
      </c>
      <c r="L19" s="5">
        <f>J19+K19</f>
        <v>27105.481146573926</v>
      </c>
      <c r="N19" s="4">
        <f t="shared" ref="N19:N48" si="1">L19-F19</f>
        <v>-16069.518853426074</v>
      </c>
      <c r="O19" t="str">
        <f>IF(N19&gt;=0,"No additional Savings Required!","")</f>
        <v/>
      </c>
    </row>
    <row r="20" spans="1:15" x14ac:dyDescent="0.25">
      <c r="A20" s="2">
        <f>+A19+0.01</f>
        <v>0.02</v>
      </c>
      <c r="B20">
        <f t="shared" ref="B20:B48" si="2">$D$4</f>
        <v>50000</v>
      </c>
      <c r="C20" s="3">
        <f t="shared" ref="C20:C48" si="3">-$D$6</f>
        <v>-3825</v>
      </c>
      <c r="D20" s="3">
        <f t="shared" ref="D20:D48" si="4">-$D$7</f>
        <v>-2500</v>
      </c>
      <c r="E20" s="3">
        <f t="shared" ref="E20:E48" si="5">-A20*B20</f>
        <v>-1000</v>
      </c>
      <c r="F20" s="7">
        <f t="shared" ref="F20:F48" si="6">SUM(B20:E20)</f>
        <v>42675</v>
      </c>
      <c r="G20" s="3"/>
      <c r="H20" s="9">
        <f t="shared" ref="H20:H48" si="7">K20/$D$12</f>
        <v>132385.97234047236</v>
      </c>
      <c r="J20" s="3">
        <f t="shared" ref="J20:J48" si="8">$D$13</f>
        <v>21679.360000000001</v>
      </c>
      <c r="K20" s="3">
        <f t="shared" si="0"/>
        <v>6619.2986170236181</v>
      </c>
      <c r="L20" s="5">
        <f t="shared" ref="L20:L48" si="9">J20+K20</f>
        <v>28298.658617023619</v>
      </c>
      <c r="N20" s="4">
        <f t="shared" si="1"/>
        <v>-14376.341382976381</v>
      </c>
      <c r="O20" t="str">
        <f>IF(AND(N19&lt;0,N20&gt;=0),"This is approximately the balanced rate","")</f>
        <v/>
      </c>
    </row>
    <row r="21" spans="1:15" x14ac:dyDescent="0.25">
      <c r="A21" s="2">
        <f t="shared" ref="A21:A48" si="10">+A20+0.01</f>
        <v>0.03</v>
      </c>
      <c r="B21">
        <f t="shared" si="2"/>
        <v>50000</v>
      </c>
      <c r="C21" s="3">
        <f t="shared" si="3"/>
        <v>-3825</v>
      </c>
      <c r="D21" s="3">
        <f t="shared" si="4"/>
        <v>-2500</v>
      </c>
      <c r="E21" s="3">
        <f t="shared" si="5"/>
        <v>-1500</v>
      </c>
      <c r="F21" s="7">
        <f t="shared" si="6"/>
        <v>42175</v>
      </c>
      <c r="G21" s="3"/>
      <c r="H21" s="9">
        <f t="shared" si="7"/>
        <v>156249.52174946622</v>
      </c>
      <c r="J21" s="3">
        <f t="shared" si="8"/>
        <v>21679.360000000001</v>
      </c>
      <c r="K21" s="3">
        <f t="shared" si="0"/>
        <v>7812.4760874733111</v>
      </c>
      <c r="L21" s="5">
        <f t="shared" si="9"/>
        <v>29491.836087473312</v>
      </c>
      <c r="N21" s="4">
        <f t="shared" si="1"/>
        <v>-12683.163912526688</v>
      </c>
      <c r="O21" t="str">
        <f t="shared" ref="O21:O47" si="11">IF(AND(N20&lt;0,N21&gt;=0),"This is approximately the balanced rate","")</f>
        <v/>
      </c>
    </row>
    <row r="22" spans="1:15" x14ac:dyDescent="0.25">
      <c r="A22" s="2">
        <f t="shared" si="10"/>
        <v>0.04</v>
      </c>
      <c r="B22">
        <f t="shared" si="2"/>
        <v>50000</v>
      </c>
      <c r="C22" s="3">
        <f t="shared" si="3"/>
        <v>-3825</v>
      </c>
      <c r="D22" s="3">
        <f t="shared" si="4"/>
        <v>-2500</v>
      </c>
      <c r="E22" s="3">
        <f t="shared" si="5"/>
        <v>-2000</v>
      </c>
      <c r="F22" s="7">
        <f t="shared" si="6"/>
        <v>41675</v>
      </c>
      <c r="G22" s="3"/>
      <c r="H22" s="9">
        <f t="shared" si="7"/>
        <v>180113.07115846008</v>
      </c>
      <c r="J22" s="3">
        <f t="shared" si="8"/>
        <v>21679.360000000001</v>
      </c>
      <c r="K22" s="3">
        <f t="shared" si="0"/>
        <v>9005.653557923004</v>
      </c>
      <c r="L22" s="5">
        <f t="shared" si="9"/>
        <v>30685.013557923005</v>
      </c>
      <c r="N22" s="4">
        <f t="shared" si="1"/>
        <v>-10989.986442076995</v>
      </c>
      <c r="O22" t="str">
        <f t="shared" si="11"/>
        <v/>
      </c>
    </row>
    <row r="23" spans="1:15" x14ac:dyDescent="0.25">
      <c r="A23" s="2">
        <f t="shared" si="10"/>
        <v>0.05</v>
      </c>
      <c r="B23">
        <f t="shared" si="2"/>
        <v>50000</v>
      </c>
      <c r="C23" s="3">
        <f t="shared" si="3"/>
        <v>-3825</v>
      </c>
      <c r="D23" s="3">
        <f t="shared" si="4"/>
        <v>-2500</v>
      </c>
      <c r="E23" s="3">
        <f t="shared" si="5"/>
        <v>-2500</v>
      </c>
      <c r="F23" s="7">
        <f t="shared" si="6"/>
        <v>41175</v>
      </c>
      <c r="G23" s="3"/>
      <c r="H23" s="9">
        <f t="shared" si="7"/>
        <v>203976.62056745394</v>
      </c>
      <c r="J23" s="3">
        <f t="shared" si="8"/>
        <v>21679.360000000001</v>
      </c>
      <c r="K23" s="3">
        <f t="shared" si="0"/>
        <v>10198.831028372697</v>
      </c>
      <c r="L23" s="5">
        <f t="shared" si="9"/>
        <v>31878.191028372697</v>
      </c>
      <c r="N23" s="4">
        <f t="shared" si="1"/>
        <v>-9296.8089716273025</v>
      </c>
      <c r="O23" t="str">
        <f t="shared" si="11"/>
        <v/>
      </c>
    </row>
    <row r="24" spans="1:15" x14ac:dyDescent="0.25">
      <c r="A24" s="2">
        <f t="shared" si="10"/>
        <v>6.0000000000000005E-2</v>
      </c>
      <c r="B24">
        <f t="shared" si="2"/>
        <v>50000</v>
      </c>
      <c r="C24" s="3">
        <f t="shared" si="3"/>
        <v>-3825</v>
      </c>
      <c r="D24" s="3">
        <f t="shared" si="4"/>
        <v>-2500</v>
      </c>
      <c r="E24" s="3">
        <f t="shared" si="5"/>
        <v>-3000.0000000000005</v>
      </c>
      <c r="F24" s="7">
        <f t="shared" si="6"/>
        <v>40675</v>
      </c>
      <c r="G24" s="3"/>
      <c r="H24" s="9">
        <f t="shared" si="7"/>
        <v>227840.16997644783</v>
      </c>
      <c r="J24" s="3">
        <f t="shared" si="8"/>
        <v>21679.360000000001</v>
      </c>
      <c r="K24" s="3">
        <f t="shared" si="0"/>
        <v>11392.008498822392</v>
      </c>
      <c r="L24" s="5">
        <f t="shared" si="9"/>
        <v>33071.36849882239</v>
      </c>
      <c r="N24" s="4">
        <f t="shared" si="1"/>
        <v>-7603.6315011776096</v>
      </c>
      <c r="O24" t="str">
        <f t="shared" si="11"/>
        <v/>
      </c>
    </row>
    <row r="25" spans="1:15" x14ac:dyDescent="0.25">
      <c r="A25" s="2">
        <f t="shared" si="10"/>
        <v>7.0000000000000007E-2</v>
      </c>
      <c r="B25">
        <f t="shared" si="2"/>
        <v>50000</v>
      </c>
      <c r="C25" s="3">
        <f t="shared" si="3"/>
        <v>-3825</v>
      </c>
      <c r="D25" s="3">
        <f t="shared" si="4"/>
        <v>-2500</v>
      </c>
      <c r="E25" s="3">
        <f t="shared" si="5"/>
        <v>-3500.0000000000005</v>
      </c>
      <c r="F25" s="7">
        <f t="shared" si="6"/>
        <v>40175</v>
      </c>
      <c r="G25" s="3"/>
      <c r="H25" s="9">
        <f t="shared" si="7"/>
        <v>251703.71938544168</v>
      </c>
      <c r="J25" s="3">
        <f t="shared" si="8"/>
        <v>21679.360000000001</v>
      </c>
      <c r="K25" s="3">
        <f t="shared" si="0"/>
        <v>12585.185969272085</v>
      </c>
      <c r="L25" s="5">
        <f t="shared" si="9"/>
        <v>34264.545969272083</v>
      </c>
      <c r="N25" s="4">
        <f t="shared" si="1"/>
        <v>-5910.4540307279167</v>
      </c>
      <c r="O25" t="str">
        <f t="shared" si="11"/>
        <v/>
      </c>
    </row>
    <row r="26" spans="1:15" x14ac:dyDescent="0.25">
      <c r="A26" s="2">
        <f t="shared" si="10"/>
        <v>0.08</v>
      </c>
      <c r="B26">
        <f t="shared" si="2"/>
        <v>50000</v>
      </c>
      <c r="C26" s="3">
        <f t="shared" si="3"/>
        <v>-3825</v>
      </c>
      <c r="D26" s="3">
        <f t="shared" si="4"/>
        <v>-2500</v>
      </c>
      <c r="E26" s="3">
        <f t="shared" si="5"/>
        <v>-4000</v>
      </c>
      <c r="F26" s="7">
        <f t="shared" si="6"/>
        <v>39675</v>
      </c>
      <c r="G26" s="3"/>
      <c r="H26" s="9">
        <f t="shared" si="7"/>
        <v>275567.26879443554</v>
      </c>
      <c r="J26" s="3">
        <f t="shared" si="8"/>
        <v>21679.360000000001</v>
      </c>
      <c r="K26" s="3">
        <f t="shared" si="0"/>
        <v>13778.363439721777</v>
      </c>
      <c r="L26" s="5">
        <f t="shared" si="9"/>
        <v>35457.723439721776</v>
      </c>
      <c r="N26" s="4">
        <f t="shared" si="1"/>
        <v>-4217.2765602782238</v>
      </c>
      <c r="O26" t="str">
        <f t="shared" si="11"/>
        <v/>
      </c>
    </row>
    <row r="27" spans="1:15" x14ac:dyDescent="0.25">
      <c r="A27" s="2">
        <f t="shared" si="10"/>
        <v>0.09</v>
      </c>
      <c r="B27">
        <f t="shared" si="2"/>
        <v>50000</v>
      </c>
      <c r="C27" s="3">
        <f t="shared" si="3"/>
        <v>-3825</v>
      </c>
      <c r="D27" s="3">
        <f t="shared" si="4"/>
        <v>-2500</v>
      </c>
      <c r="E27" s="3">
        <f t="shared" si="5"/>
        <v>-4500</v>
      </c>
      <c r="F27" s="7">
        <f t="shared" si="6"/>
        <v>39175</v>
      </c>
      <c r="G27" s="3"/>
      <c r="H27" s="9">
        <f t="shared" si="7"/>
        <v>299430.81820342934</v>
      </c>
      <c r="J27" s="3">
        <f t="shared" si="8"/>
        <v>21679.360000000001</v>
      </c>
      <c r="K27" s="3">
        <f t="shared" si="0"/>
        <v>14971.540910171469</v>
      </c>
      <c r="L27" s="5">
        <f t="shared" si="9"/>
        <v>36650.900910171469</v>
      </c>
      <c r="N27" s="4">
        <f t="shared" si="1"/>
        <v>-2524.0990898285309</v>
      </c>
      <c r="O27" t="str">
        <f t="shared" si="11"/>
        <v/>
      </c>
    </row>
    <row r="28" spans="1:15" x14ac:dyDescent="0.25">
      <c r="A28" s="2">
        <f t="shared" si="10"/>
        <v>9.9999999999999992E-2</v>
      </c>
      <c r="B28">
        <f t="shared" si="2"/>
        <v>50000</v>
      </c>
      <c r="C28" s="3">
        <f t="shared" si="3"/>
        <v>-3825</v>
      </c>
      <c r="D28" s="3">
        <f t="shared" si="4"/>
        <v>-2500</v>
      </c>
      <c r="E28" s="3">
        <f t="shared" si="5"/>
        <v>-5000</v>
      </c>
      <c r="F28" s="7">
        <f t="shared" si="6"/>
        <v>38675</v>
      </c>
      <c r="G28" s="3"/>
      <c r="H28" s="9">
        <f t="shared" si="7"/>
        <v>323294.36761242326</v>
      </c>
      <c r="J28" s="3">
        <f t="shared" si="8"/>
        <v>21679.360000000001</v>
      </c>
      <c r="K28" s="3">
        <f t="shared" si="0"/>
        <v>16164.718380621163</v>
      </c>
      <c r="L28" s="5">
        <f t="shared" si="9"/>
        <v>37844.078380621162</v>
      </c>
      <c r="N28" s="4">
        <f t="shared" si="1"/>
        <v>-830.92161937883793</v>
      </c>
      <c r="O28" t="str">
        <f t="shared" si="11"/>
        <v/>
      </c>
    </row>
    <row r="29" spans="1:15" x14ac:dyDescent="0.25">
      <c r="A29" s="2">
        <f t="shared" si="10"/>
        <v>0.10999999999999999</v>
      </c>
      <c r="B29">
        <f t="shared" si="2"/>
        <v>50000</v>
      </c>
      <c r="C29" s="3">
        <f t="shared" si="3"/>
        <v>-3825</v>
      </c>
      <c r="D29" s="3">
        <f t="shared" si="4"/>
        <v>-2500</v>
      </c>
      <c r="E29" s="3">
        <f t="shared" si="5"/>
        <v>-5499.9999999999991</v>
      </c>
      <c r="F29" s="7">
        <f t="shared" si="6"/>
        <v>38175</v>
      </c>
      <c r="G29" s="3"/>
      <c r="H29" s="9">
        <f t="shared" si="7"/>
        <v>347157.91702141706</v>
      </c>
      <c r="J29" s="3">
        <f t="shared" si="8"/>
        <v>21679.360000000001</v>
      </c>
      <c r="K29" s="3">
        <f t="shared" si="0"/>
        <v>17357.895851070854</v>
      </c>
      <c r="L29" s="5">
        <f t="shared" si="9"/>
        <v>39037.255851070855</v>
      </c>
      <c r="N29" s="4">
        <f t="shared" si="1"/>
        <v>862.25585107085499</v>
      </c>
      <c r="O29" t="str">
        <f t="shared" si="11"/>
        <v>This is approximately the balanced rate</v>
      </c>
    </row>
    <row r="30" spans="1:15" x14ac:dyDescent="0.25">
      <c r="A30" s="2">
        <f t="shared" si="10"/>
        <v>0.11999999999999998</v>
      </c>
      <c r="B30">
        <f t="shared" si="2"/>
        <v>50000</v>
      </c>
      <c r="C30" s="3">
        <f t="shared" si="3"/>
        <v>-3825</v>
      </c>
      <c r="D30" s="3">
        <f t="shared" si="4"/>
        <v>-2500</v>
      </c>
      <c r="E30" s="3">
        <f t="shared" si="5"/>
        <v>-5999.9999999999991</v>
      </c>
      <c r="F30" s="7">
        <f t="shared" si="6"/>
        <v>37675</v>
      </c>
      <c r="G30" s="3"/>
      <c r="H30" s="9">
        <f t="shared" si="7"/>
        <v>371021.46643041086</v>
      </c>
      <c r="J30" s="3">
        <f t="shared" si="8"/>
        <v>21679.360000000001</v>
      </c>
      <c r="K30" s="3">
        <f t="shared" si="0"/>
        <v>18551.073321520544</v>
      </c>
      <c r="L30" s="5">
        <f t="shared" si="9"/>
        <v>40230.433321520541</v>
      </c>
      <c r="N30" s="4">
        <f t="shared" si="1"/>
        <v>2555.4333215205406</v>
      </c>
      <c r="O30" t="str">
        <f t="shared" si="11"/>
        <v/>
      </c>
    </row>
    <row r="31" spans="1:15" x14ac:dyDescent="0.25">
      <c r="A31" s="2">
        <f t="shared" si="10"/>
        <v>0.12999999999999998</v>
      </c>
      <c r="B31">
        <f t="shared" si="2"/>
        <v>50000</v>
      </c>
      <c r="C31" s="3">
        <f t="shared" si="3"/>
        <v>-3825</v>
      </c>
      <c r="D31" s="3">
        <f t="shared" si="4"/>
        <v>-2500</v>
      </c>
      <c r="E31" s="3">
        <f t="shared" si="5"/>
        <v>-6499.9999999999991</v>
      </c>
      <c r="F31" s="7">
        <f t="shared" si="6"/>
        <v>37175</v>
      </c>
      <c r="G31" s="3"/>
      <c r="H31" s="9">
        <f t="shared" si="7"/>
        <v>394885.01583940478</v>
      </c>
      <c r="J31" s="3">
        <f t="shared" si="8"/>
        <v>21679.360000000001</v>
      </c>
      <c r="K31" s="3">
        <f t="shared" si="0"/>
        <v>19744.25079197024</v>
      </c>
      <c r="L31" s="5">
        <f t="shared" si="9"/>
        <v>41423.610791970241</v>
      </c>
      <c r="N31" s="4">
        <f t="shared" si="1"/>
        <v>4248.6107919702408</v>
      </c>
      <c r="O31" t="str">
        <f t="shared" si="11"/>
        <v/>
      </c>
    </row>
    <row r="32" spans="1:15" x14ac:dyDescent="0.25">
      <c r="A32" s="2">
        <f t="shared" si="10"/>
        <v>0.13999999999999999</v>
      </c>
      <c r="B32">
        <f t="shared" si="2"/>
        <v>50000</v>
      </c>
      <c r="C32" s="3">
        <f t="shared" si="3"/>
        <v>-3825</v>
      </c>
      <c r="D32" s="3">
        <f t="shared" si="4"/>
        <v>-2500</v>
      </c>
      <c r="E32" s="3">
        <f t="shared" si="5"/>
        <v>-6999.9999999999991</v>
      </c>
      <c r="F32" s="7">
        <f t="shared" si="6"/>
        <v>36675</v>
      </c>
      <c r="G32" s="3"/>
      <c r="H32" s="9">
        <f t="shared" si="7"/>
        <v>418748.56524839858</v>
      </c>
      <c r="J32" s="3">
        <f t="shared" si="8"/>
        <v>21679.360000000001</v>
      </c>
      <c r="K32" s="3">
        <f t="shared" si="0"/>
        <v>20937.42826241993</v>
      </c>
      <c r="L32" s="5">
        <f t="shared" si="9"/>
        <v>42616.788262419926</v>
      </c>
      <c r="N32" s="4">
        <f t="shared" si="1"/>
        <v>5941.7882624199265</v>
      </c>
      <c r="O32" t="str">
        <f t="shared" si="11"/>
        <v/>
      </c>
    </row>
    <row r="33" spans="1:15" x14ac:dyDescent="0.25">
      <c r="A33" s="2">
        <f t="shared" si="10"/>
        <v>0.15</v>
      </c>
      <c r="B33">
        <f t="shared" si="2"/>
        <v>50000</v>
      </c>
      <c r="C33" s="3">
        <f t="shared" si="3"/>
        <v>-3825</v>
      </c>
      <c r="D33" s="3">
        <f t="shared" si="4"/>
        <v>-2500</v>
      </c>
      <c r="E33" s="3">
        <f t="shared" si="5"/>
        <v>-7500</v>
      </c>
      <c r="F33" s="7">
        <f t="shared" si="6"/>
        <v>36175</v>
      </c>
      <c r="G33" s="3"/>
      <c r="H33" s="9">
        <f t="shared" si="7"/>
        <v>442612.11465739249</v>
      </c>
      <c r="J33" s="3">
        <f t="shared" si="8"/>
        <v>21679.360000000001</v>
      </c>
      <c r="K33" s="3">
        <f t="shared" si="0"/>
        <v>22130.605732869626</v>
      </c>
      <c r="L33" s="5">
        <f t="shared" si="9"/>
        <v>43809.965732869627</v>
      </c>
      <c r="N33" s="4">
        <f t="shared" si="1"/>
        <v>7634.9657328696267</v>
      </c>
      <c r="O33" t="str">
        <f t="shared" si="11"/>
        <v/>
      </c>
    </row>
    <row r="34" spans="1:15" x14ac:dyDescent="0.25">
      <c r="A34" s="2">
        <f t="shared" si="10"/>
        <v>0.16</v>
      </c>
      <c r="B34">
        <f t="shared" si="2"/>
        <v>50000</v>
      </c>
      <c r="C34" s="3">
        <f t="shared" si="3"/>
        <v>-3825</v>
      </c>
      <c r="D34" s="3">
        <f t="shared" si="4"/>
        <v>-2500</v>
      </c>
      <c r="E34" s="3">
        <f t="shared" si="5"/>
        <v>-8000</v>
      </c>
      <c r="F34" s="7">
        <f t="shared" si="6"/>
        <v>35675</v>
      </c>
      <c r="G34" s="3"/>
      <c r="H34" s="9">
        <f t="shared" si="7"/>
        <v>466475.66406638641</v>
      </c>
      <c r="J34" s="3">
        <f t="shared" si="8"/>
        <v>21679.360000000001</v>
      </c>
      <c r="K34" s="3">
        <f t="shared" si="0"/>
        <v>23323.783203319323</v>
      </c>
      <c r="L34" s="5">
        <f t="shared" si="9"/>
        <v>45003.143203319327</v>
      </c>
      <c r="N34" s="4">
        <f t="shared" si="1"/>
        <v>9328.1432033193269</v>
      </c>
      <c r="O34" t="str">
        <f t="shared" si="11"/>
        <v/>
      </c>
    </row>
    <row r="35" spans="1:15" x14ac:dyDescent="0.25">
      <c r="A35" s="2">
        <f t="shared" si="10"/>
        <v>0.17</v>
      </c>
      <c r="B35">
        <f t="shared" si="2"/>
        <v>50000</v>
      </c>
      <c r="C35" s="3">
        <f t="shared" si="3"/>
        <v>-3825</v>
      </c>
      <c r="D35" s="3">
        <f t="shared" si="4"/>
        <v>-2500</v>
      </c>
      <c r="E35" s="3">
        <f t="shared" si="5"/>
        <v>-8500</v>
      </c>
      <c r="F35" s="7">
        <f t="shared" si="6"/>
        <v>35175</v>
      </c>
      <c r="G35" s="3"/>
      <c r="H35" s="9">
        <f t="shared" si="7"/>
        <v>490339.21347538021</v>
      </c>
      <c r="J35" s="3">
        <f t="shared" si="8"/>
        <v>21679.360000000001</v>
      </c>
      <c r="K35" s="3">
        <f t="shared" si="0"/>
        <v>24516.960673769012</v>
      </c>
      <c r="L35" s="5">
        <f t="shared" si="9"/>
        <v>46196.320673769013</v>
      </c>
      <c r="N35" s="4">
        <f t="shared" si="1"/>
        <v>11021.320673769013</v>
      </c>
      <c r="O35" t="str">
        <f t="shared" si="11"/>
        <v/>
      </c>
    </row>
    <row r="36" spans="1:15" x14ac:dyDescent="0.25">
      <c r="A36" s="2">
        <f t="shared" si="10"/>
        <v>0.18000000000000002</v>
      </c>
      <c r="B36">
        <f t="shared" si="2"/>
        <v>50000</v>
      </c>
      <c r="C36" s="3">
        <f t="shared" si="3"/>
        <v>-3825</v>
      </c>
      <c r="D36" s="3">
        <f t="shared" si="4"/>
        <v>-2500</v>
      </c>
      <c r="E36" s="3">
        <f t="shared" si="5"/>
        <v>-9000.0000000000018</v>
      </c>
      <c r="F36" s="7">
        <f t="shared" si="6"/>
        <v>34675</v>
      </c>
      <c r="G36" s="3"/>
      <c r="H36" s="9">
        <f t="shared" si="7"/>
        <v>514202.76288437413</v>
      </c>
      <c r="J36" s="3">
        <f t="shared" si="8"/>
        <v>21679.360000000001</v>
      </c>
      <c r="K36" s="3">
        <f t="shared" si="0"/>
        <v>25710.138144218708</v>
      </c>
      <c r="L36" s="5">
        <f t="shared" si="9"/>
        <v>47389.498144218713</v>
      </c>
      <c r="N36" s="4">
        <f t="shared" si="1"/>
        <v>12714.498144218713</v>
      </c>
      <c r="O36" t="str">
        <f t="shared" si="11"/>
        <v/>
      </c>
    </row>
    <row r="37" spans="1:15" x14ac:dyDescent="0.25">
      <c r="A37" s="2">
        <f t="shared" si="10"/>
        <v>0.19000000000000003</v>
      </c>
      <c r="B37">
        <f t="shared" si="2"/>
        <v>50000</v>
      </c>
      <c r="C37" s="3">
        <f t="shared" si="3"/>
        <v>-3825</v>
      </c>
      <c r="D37" s="3">
        <f t="shared" si="4"/>
        <v>-2500</v>
      </c>
      <c r="E37" s="3">
        <f t="shared" si="5"/>
        <v>-9500.0000000000018</v>
      </c>
      <c r="F37" s="7">
        <f t="shared" si="6"/>
        <v>34175</v>
      </c>
      <c r="G37" s="3"/>
      <c r="H37" s="9">
        <f t="shared" si="7"/>
        <v>538066.31229336804</v>
      </c>
      <c r="J37" s="3">
        <f t="shared" si="8"/>
        <v>21679.360000000001</v>
      </c>
      <c r="K37" s="3">
        <f t="shared" si="0"/>
        <v>26903.315614668405</v>
      </c>
      <c r="L37" s="5">
        <f t="shared" si="9"/>
        <v>48582.675614668406</v>
      </c>
      <c r="N37" s="4">
        <f t="shared" si="1"/>
        <v>14407.675614668406</v>
      </c>
      <c r="O37" t="str">
        <f t="shared" si="11"/>
        <v/>
      </c>
    </row>
    <row r="38" spans="1:15" x14ac:dyDescent="0.25">
      <c r="A38" s="2">
        <f t="shared" si="10"/>
        <v>0.20000000000000004</v>
      </c>
      <c r="B38">
        <f t="shared" si="2"/>
        <v>50000</v>
      </c>
      <c r="C38" s="3">
        <f t="shared" si="3"/>
        <v>-3825</v>
      </c>
      <c r="D38" s="3">
        <f t="shared" si="4"/>
        <v>-2500</v>
      </c>
      <c r="E38" s="3">
        <f t="shared" si="5"/>
        <v>-10000.000000000002</v>
      </c>
      <c r="F38" s="7">
        <f t="shared" si="6"/>
        <v>33675</v>
      </c>
      <c r="G38" s="3"/>
      <c r="H38" s="9">
        <f t="shared" si="7"/>
        <v>561929.86170236184</v>
      </c>
      <c r="J38" s="3">
        <f t="shared" si="8"/>
        <v>21679.360000000001</v>
      </c>
      <c r="K38" s="3">
        <f t="shared" si="0"/>
        <v>28096.493085118094</v>
      </c>
      <c r="L38" s="5">
        <f t="shared" si="9"/>
        <v>49775.853085118099</v>
      </c>
      <c r="N38" s="4">
        <f t="shared" si="1"/>
        <v>16100.853085118099</v>
      </c>
      <c r="O38" t="str">
        <f t="shared" si="11"/>
        <v/>
      </c>
    </row>
    <row r="39" spans="1:15" x14ac:dyDescent="0.25">
      <c r="A39" s="2">
        <f t="shared" si="10"/>
        <v>0.21000000000000005</v>
      </c>
      <c r="B39">
        <f t="shared" si="2"/>
        <v>50000</v>
      </c>
      <c r="C39" s="3">
        <f t="shared" si="3"/>
        <v>-3825</v>
      </c>
      <c r="D39" s="3">
        <f t="shared" si="4"/>
        <v>-2500</v>
      </c>
      <c r="E39" s="3">
        <f t="shared" si="5"/>
        <v>-10500.000000000002</v>
      </c>
      <c r="F39" s="7">
        <f t="shared" si="6"/>
        <v>33175</v>
      </c>
      <c r="G39" s="3"/>
      <c r="H39" s="9">
        <f t="shared" si="7"/>
        <v>585793.41111135576</v>
      </c>
      <c r="J39" s="3">
        <f t="shared" si="8"/>
        <v>21679.360000000001</v>
      </c>
      <c r="K39" s="3">
        <f t="shared" si="0"/>
        <v>29289.670555567791</v>
      </c>
      <c r="L39" s="5">
        <f t="shared" si="9"/>
        <v>50969.030555567791</v>
      </c>
      <c r="N39" s="4">
        <f t="shared" si="1"/>
        <v>17794.030555567791</v>
      </c>
      <c r="O39" t="str">
        <f t="shared" si="11"/>
        <v/>
      </c>
    </row>
    <row r="40" spans="1:15" x14ac:dyDescent="0.25">
      <c r="A40" s="2">
        <f t="shared" si="10"/>
        <v>0.22000000000000006</v>
      </c>
      <c r="B40">
        <f t="shared" si="2"/>
        <v>50000</v>
      </c>
      <c r="C40" s="3">
        <f t="shared" si="3"/>
        <v>-3825</v>
      </c>
      <c r="D40" s="3">
        <f t="shared" si="4"/>
        <v>-2500</v>
      </c>
      <c r="E40" s="3">
        <f t="shared" si="5"/>
        <v>-11000.000000000004</v>
      </c>
      <c r="F40" s="7">
        <f t="shared" si="6"/>
        <v>32674.999999999996</v>
      </c>
      <c r="G40" s="3"/>
      <c r="H40" s="9">
        <f t="shared" si="7"/>
        <v>609656.96052034968</v>
      </c>
      <c r="J40" s="3">
        <f t="shared" si="8"/>
        <v>21679.360000000001</v>
      </c>
      <c r="K40" s="3">
        <f t="shared" si="0"/>
        <v>30482.848026017484</v>
      </c>
      <c r="L40" s="5">
        <f t="shared" si="9"/>
        <v>52162.208026017484</v>
      </c>
      <c r="N40" s="4">
        <f t="shared" si="1"/>
        <v>19487.208026017488</v>
      </c>
      <c r="O40" t="str">
        <f t="shared" si="11"/>
        <v/>
      </c>
    </row>
    <row r="41" spans="1:15" x14ac:dyDescent="0.25">
      <c r="A41" s="2">
        <f t="shared" si="10"/>
        <v>0.23000000000000007</v>
      </c>
      <c r="B41">
        <f t="shared" si="2"/>
        <v>50000</v>
      </c>
      <c r="C41" s="3">
        <f t="shared" si="3"/>
        <v>-3825</v>
      </c>
      <c r="D41" s="3">
        <f t="shared" si="4"/>
        <v>-2500</v>
      </c>
      <c r="E41" s="3">
        <f t="shared" si="5"/>
        <v>-11500.000000000004</v>
      </c>
      <c r="F41" s="7">
        <f t="shared" si="6"/>
        <v>32174.999999999996</v>
      </c>
      <c r="G41" s="3"/>
      <c r="H41" s="9">
        <f t="shared" si="7"/>
        <v>633520.50992934359</v>
      </c>
      <c r="J41" s="3">
        <f t="shared" si="8"/>
        <v>21679.360000000001</v>
      </c>
      <c r="K41" s="3">
        <f t="shared" si="0"/>
        <v>31676.02549646718</v>
      </c>
      <c r="L41" s="5">
        <f t="shared" si="9"/>
        <v>53355.385496467177</v>
      </c>
      <c r="N41" s="4">
        <f t="shared" si="1"/>
        <v>21180.385496467181</v>
      </c>
      <c r="O41" t="str">
        <f t="shared" si="11"/>
        <v/>
      </c>
    </row>
    <row r="42" spans="1:15" x14ac:dyDescent="0.25">
      <c r="A42" s="2">
        <f t="shared" si="10"/>
        <v>0.24000000000000007</v>
      </c>
      <c r="B42">
        <f t="shared" si="2"/>
        <v>50000</v>
      </c>
      <c r="C42" s="3">
        <f t="shared" si="3"/>
        <v>-3825</v>
      </c>
      <c r="D42" s="3">
        <f t="shared" si="4"/>
        <v>-2500</v>
      </c>
      <c r="E42" s="3">
        <f t="shared" si="5"/>
        <v>-12000.000000000004</v>
      </c>
      <c r="F42" s="7">
        <f t="shared" si="6"/>
        <v>31674.999999999996</v>
      </c>
      <c r="G42" s="3"/>
      <c r="H42" s="9">
        <f t="shared" si="7"/>
        <v>657384.05933833739</v>
      </c>
      <c r="J42" s="3">
        <f t="shared" si="8"/>
        <v>21679.360000000001</v>
      </c>
      <c r="K42" s="3">
        <f t="shared" si="0"/>
        <v>32869.20296691687</v>
      </c>
      <c r="L42" s="5">
        <f t="shared" si="9"/>
        <v>54548.56296691687</v>
      </c>
      <c r="N42" s="4">
        <f t="shared" si="1"/>
        <v>22873.562966916874</v>
      </c>
      <c r="O42" t="str">
        <f t="shared" si="11"/>
        <v/>
      </c>
    </row>
    <row r="43" spans="1:15" x14ac:dyDescent="0.25">
      <c r="A43" s="2">
        <f t="shared" si="10"/>
        <v>0.25000000000000006</v>
      </c>
      <c r="B43">
        <f t="shared" si="2"/>
        <v>50000</v>
      </c>
      <c r="C43" s="3">
        <f t="shared" si="3"/>
        <v>-3825</v>
      </c>
      <c r="D43" s="3">
        <f t="shared" si="4"/>
        <v>-2500</v>
      </c>
      <c r="E43" s="3">
        <f t="shared" si="5"/>
        <v>-12500.000000000004</v>
      </c>
      <c r="F43" s="7">
        <f t="shared" si="6"/>
        <v>31174.999999999996</v>
      </c>
      <c r="G43" s="3"/>
      <c r="H43" s="9">
        <f t="shared" si="7"/>
        <v>681247.60874733131</v>
      </c>
      <c r="J43" s="3">
        <f t="shared" si="8"/>
        <v>21679.360000000001</v>
      </c>
      <c r="K43" s="3">
        <f t="shared" si="0"/>
        <v>34062.38043736657</v>
      </c>
      <c r="L43" s="5">
        <f t="shared" si="9"/>
        <v>55741.74043736657</v>
      </c>
      <c r="N43" s="4">
        <f t="shared" si="1"/>
        <v>24566.740437366574</v>
      </c>
      <c r="O43" t="str">
        <f t="shared" si="11"/>
        <v/>
      </c>
    </row>
    <row r="44" spans="1:15" x14ac:dyDescent="0.25">
      <c r="A44" s="2">
        <f t="shared" si="10"/>
        <v>0.26000000000000006</v>
      </c>
      <c r="B44">
        <f t="shared" si="2"/>
        <v>50000</v>
      </c>
      <c r="C44" s="3">
        <f t="shared" si="3"/>
        <v>-3825</v>
      </c>
      <c r="D44" s="3">
        <f t="shared" si="4"/>
        <v>-2500</v>
      </c>
      <c r="E44" s="3">
        <f t="shared" si="5"/>
        <v>-13000.000000000004</v>
      </c>
      <c r="F44" s="7">
        <f t="shared" si="6"/>
        <v>30674.999999999996</v>
      </c>
      <c r="G44" s="3"/>
      <c r="H44" s="9">
        <f t="shared" si="7"/>
        <v>705111.15815632511</v>
      </c>
      <c r="J44" s="3">
        <f t="shared" si="8"/>
        <v>21679.360000000001</v>
      </c>
      <c r="K44" s="3">
        <f t="shared" si="0"/>
        <v>35255.557907816255</v>
      </c>
      <c r="L44" s="5">
        <f t="shared" si="9"/>
        <v>56934.917907816256</v>
      </c>
      <c r="N44" s="4">
        <f t="shared" si="1"/>
        <v>26259.91790781626</v>
      </c>
      <c r="O44" t="str">
        <f t="shared" si="11"/>
        <v/>
      </c>
    </row>
    <row r="45" spans="1:15" x14ac:dyDescent="0.25">
      <c r="A45" s="2">
        <f t="shared" si="10"/>
        <v>0.27000000000000007</v>
      </c>
      <c r="B45">
        <f t="shared" si="2"/>
        <v>50000</v>
      </c>
      <c r="C45" s="3">
        <f t="shared" si="3"/>
        <v>-3825</v>
      </c>
      <c r="D45" s="3">
        <f t="shared" si="4"/>
        <v>-2500</v>
      </c>
      <c r="E45" s="3">
        <f t="shared" si="5"/>
        <v>-13500.000000000004</v>
      </c>
      <c r="F45" s="7">
        <f t="shared" si="6"/>
        <v>30174.999999999996</v>
      </c>
      <c r="G45" s="3"/>
      <c r="H45" s="9">
        <f t="shared" si="7"/>
        <v>728974.70756531903</v>
      </c>
      <c r="J45" s="3">
        <f t="shared" si="8"/>
        <v>21679.360000000001</v>
      </c>
      <c r="K45" s="3">
        <f t="shared" si="0"/>
        <v>36448.735378265956</v>
      </c>
      <c r="L45" s="5">
        <f t="shared" si="9"/>
        <v>58128.095378265956</v>
      </c>
      <c r="N45" s="4">
        <f t="shared" si="1"/>
        <v>27953.09537826596</v>
      </c>
      <c r="O45" t="str">
        <f t="shared" si="11"/>
        <v/>
      </c>
    </row>
    <row r="46" spans="1:15" x14ac:dyDescent="0.25">
      <c r="A46" s="2">
        <f t="shared" si="10"/>
        <v>0.28000000000000008</v>
      </c>
      <c r="B46">
        <f t="shared" si="2"/>
        <v>50000</v>
      </c>
      <c r="C46" s="3">
        <f t="shared" si="3"/>
        <v>-3825</v>
      </c>
      <c r="D46" s="3">
        <f t="shared" si="4"/>
        <v>-2500</v>
      </c>
      <c r="E46" s="3">
        <f t="shared" si="5"/>
        <v>-14000.000000000004</v>
      </c>
      <c r="F46" s="7">
        <f t="shared" si="6"/>
        <v>29674.999999999996</v>
      </c>
      <c r="G46" s="3"/>
      <c r="H46" s="9">
        <f t="shared" si="7"/>
        <v>752838.25697431283</v>
      </c>
      <c r="J46" s="3">
        <f t="shared" si="8"/>
        <v>21679.360000000001</v>
      </c>
      <c r="K46" s="3">
        <f t="shared" si="0"/>
        <v>37641.912848715641</v>
      </c>
      <c r="L46" s="5">
        <f t="shared" si="9"/>
        <v>59321.272848715642</v>
      </c>
      <c r="N46" s="4">
        <f t="shared" si="1"/>
        <v>29646.272848715646</v>
      </c>
      <c r="O46" t="str">
        <f t="shared" si="11"/>
        <v/>
      </c>
    </row>
    <row r="47" spans="1:15" x14ac:dyDescent="0.25">
      <c r="A47" s="2">
        <f t="shared" si="10"/>
        <v>0.29000000000000009</v>
      </c>
      <c r="B47">
        <f t="shared" si="2"/>
        <v>50000</v>
      </c>
      <c r="C47" s="3">
        <f t="shared" si="3"/>
        <v>-3825</v>
      </c>
      <c r="D47" s="3">
        <f t="shared" si="4"/>
        <v>-2500</v>
      </c>
      <c r="E47" s="3">
        <f t="shared" si="5"/>
        <v>-14500.000000000005</v>
      </c>
      <c r="F47" s="7">
        <f t="shared" si="6"/>
        <v>29174.999999999993</v>
      </c>
      <c r="G47" s="3"/>
      <c r="H47" s="9">
        <f t="shared" si="7"/>
        <v>776701.80638330674</v>
      </c>
      <c r="J47" s="3">
        <f t="shared" si="8"/>
        <v>21679.360000000001</v>
      </c>
      <c r="K47" s="3">
        <f t="shared" si="0"/>
        <v>38835.090319165341</v>
      </c>
      <c r="L47" s="5">
        <f t="shared" si="9"/>
        <v>60514.450319165342</v>
      </c>
      <c r="N47" s="4">
        <f t="shared" si="1"/>
        <v>31339.450319165349</v>
      </c>
      <c r="O47" t="str">
        <f t="shared" si="11"/>
        <v/>
      </c>
    </row>
    <row r="48" spans="1:15" ht="15.75" thickBot="1" x14ac:dyDescent="0.3">
      <c r="A48" s="2">
        <f t="shared" si="10"/>
        <v>0.3000000000000001</v>
      </c>
      <c r="B48">
        <f t="shared" si="2"/>
        <v>50000</v>
      </c>
      <c r="C48" s="3">
        <f t="shared" si="3"/>
        <v>-3825</v>
      </c>
      <c r="D48" s="3">
        <f t="shared" si="4"/>
        <v>-2500</v>
      </c>
      <c r="E48" s="3">
        <f t="shared" si="5"/>
        <v>-15000.000000000005</v>
      </c>
      <c r="F48" s="8">
        <f t="shared" si="6"/>
        <v>28674.999999999993</v>
      </c>
      <c r="G48" s="3"/>
      <c r="H48" s="10">
        <f t="shared" si="7"/>
        <v>800565.35579230066</v>
      </c>
      <c r="J48" s="3">
        <f t="shared" si="8"/>
        <v>21679.360000000001</v>
      </c>
      <c r="K48" s="3">
        <f t="shared" si="0"/>
        <v>40028.267789615034</v>
      </c>
      <c r="L48" s="6">
        <f t="shared" si="9"/>
        <v>61707.627789615035</v>
      </c>
      <c r="N48" s="4">
        <f t="shared" si="1"/>
        <v>33032.627789615042</v>
      </c>
      <c r="O48" t="str">
        <f>IF(AND(N47&lt;0,N48&gt;=0),"This is approximately the balanced rate",IF(N48&lt;0,"You need to save more than 30% annually",""))</f>
        <v/>
      </c>
    </row>
  </sheetData>
  <hyperlinks>
    <hyperlink ref="G1" r:id="rId1" display="Stephen L. Nelson"/>
    <hyperlink ref="I1" r:id="rId2"/>
  </hyperlinks>
  <pageMargins left="0.7" right="0.7" top="0.75" bottom="0.75" header="0.3" footer="0.3"/>
  <pageSetup orientation="portrait" horizontalDpi="4294967293" verticalDpi="4294967293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</cp:lastModifiedBy>
  <dcterms:created xsi:type="dcterms:W3CDTF">2014-01-19T14:17:04Z</dcterms:created>
  <dcterms:modified xsi:type="dcterms:W3CDTF">2014-02-04T18:04:21Z</dcterms:modified>
</cp:coreProperties>
</file>